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\Documents\Work Mike\Chloride white paper\"/>
    </mc:Choice>
  </mc:AlternateContent>
  <xr:revisionPtr revIDLastSave="0" documentId="8_{41FB894B-2351-4490-8A50-287A8A73578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Loading calculator" sheetId="1" r:id="rId1"/>
    <sheet name="Infiltration recharge rate" sheetId="3" r:id="rId2"/>
    <sheet name="Defaults locked" sheetId="2" r:id="rId3"/>
    <sheet name="Pie chart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B10" i="4" s="1"/>
  <c r="D17" i="1"/>
  <c r="B9" i="4" s="1"/>
  <c r="D16" i="1"/>
  <c r="B8" i="4" s="1"/>
  <c r="D15" i="1"/>
  <c r="B7" i="4" s="1"/>
  <c r="D14" i="1"/>
  <c r="B6" i="4" s="1"/>
  <c r="D13" i="1"/>
  <c r="B5" i="4" s="1"/>
  <c r="D12" i="1"/>
  <c r="B4" i="4" s="1"/>
  <c r="D11" i="1"/>
  <c r="D10" i="1"/>
  <c r="B2" i="4" s="1"/>
  <c r="B3" i="4"/>
  <c r="D19" i="2" l="1"/>
  <c r="F19" i="2" s="1"/>
  <c r="H18" i="2"/>
  <c r="B18" i="2"/>
  <c r="D18" i="2" s="1"/>
  <c r="D17" i="2"/>
  <c r="F17" i="2" s="1"/>
  <c r="D16" i="2"/>
  <c r="B15" i="2"/>
  <c r="D15" i="2" s="1"/>
  <c r="L14" i="2"/>
  <c r="K14" i="2"/>
  <c r="B14" i="2"/>
  <c r="D14" i="2" s="1"/>
  <c r="B13" i="2"/>
  <c r="D13" i="2" s="1"/>
  <c r="B12" i="2"/>
  <c r="D12" i="2" s="1"/>
  <c r="D5" i="2"/>
  <c r="B11" i="2" s="1"/>
  <c r="F15" i="2" l="1"/>
  <c r="B20" i="2"/>
  <c r="D11" i="2"/>
  <c r="F12" i="2"/>
  <c r="F18" i="2"/>
  <c r="F13" i="2"/>
  <c r="F14" i="2"/>
  <c r="F16" i="2"/>
  <c r="H17" i="1"/>
  <c r="D4" i="1"/>
  <c r="D20" i="2" l="1"/>
  <c r="F11" i="2"/>
  <c r="F20" i="2" s="1"/>
  <c r="E11" i="2"/>
  <c r="B17" i="1"/>
  <c r="B14" i="1"/>
  <c r="B12" i="1"/>
  <c r="B11" i="1"/>
  <c r="B10" i="1"/>
  <c r="E17" i="2" l="1"/>
  <c r="E16" i="2"/>
  <c r="E14" i="2"/>
  <c r="E12" i="2"/>
  <c r="E20" i="2" s="1"/>
  <c r="E19" i="2"/>
  <c r="E18" i="2"/>
  <c r="E15" i="2"/>
  <c r="E13" i="2"/>
  <c r="F15" i="1" l="1"/>
  <c r="F16" i="1"/>
  <c r="L13" i="1" l="1"/>
  <c r="K13" i="1"/>
  <c r="F12" i="1"/>
  <c r="F17" i="1" l="1"/>
  <c r="F18" i="1"/>
  <c r="F14" i="1"/>
  <c r="F11" i="1"/>
  <c r="B13" i="1"/>
  <c r="F13" i="1" s="1"/>
  <c r="F10" i="1"/>
  <c r="B19" i="1" l="1"/>
  <c r="F19" i="1"/>
  <c r="D19" i="1"/>
  <c r="E16" i="1" l="1"/>
  <c r="B19" i="4" s="1"/>
  <c r="E15" i="1"/>
  <c r="B18" i="4" s="1"/>
  <c r="E11" i="1"/>
  <c r="B14" i="4" s="1"/>
  <c r="E14" i="1"/>
  <c r="B17" i="4" s="1"/>
  <c r="E18" i="1"/>
  <c r="B21" i="4" s="1"/>
  <c r="E13" i="1"/>
  <c r="B16" i="4" s="1"/>
  <c r="E12" i="1"/>
  <c r="B15" i="4" s="1"/>
  <c r="E17" i="1"/>
  <c r="B20" i="4" s="1"/>
  <c r="E10" i="1"/>
  <c r="B13" i="4" s="1"/>
  <c r="E19" i="1" l="1"/>
</calcChain>
</file>

<file path=xl/sharedStrings.xml><?xml version="1.0" encoding="utf-8"?>
<sst xmlns="http://schemas.openxmlformats.org/spreadsheetml/2006/main" count="103" uniqueCount="48">
  <si>
    <t>Source</t>
  </si>
  <si>
    <t>Infiltration (in/yr)</t>
  </si>
  <si>
    <t>Concentration (mg/L)</t>
  </si>
  <si>
    <t>Annual loading (lbs)</t>
  </si>
  <si>
    <t>% of loading</t>
  </si>
  <si>
    <t>Fraction of impervious area treated or entering system</t>
  </si>
  <si>
    <t>Leakage rate*</t>
  </si>
  <si>
    <t>Impervious surfaces</t>
  </si>
  <si>
    <t>Piped inflow</t>
  </si>
  <si>
    <t>Sanitary sewer leakage</t>
  </si>
  <si>
    <t>Storm sewer leakage</t>
  </si>
  <si>
    <t>Surface water discharges</t>
  </si>
  <si>
    <t>TOTAL</t>
  </si>
  <si>
    <t>Fraction of annual precipitation or volume that infiltrates or enters system</t>
  </si>
  <si>
    <t>Average annual infiltration (inches)</t>
  </si>
  <si>
    <t>Impervious (%)</t>
  </si>
  <si>
    <t>kg/ha</t>
  </si>
  <si>
    <t>Input</t>
  </si>
  <si>
    <t>Value</t>
  </si>
  <si>
    <t>Annual precipitation (in)</t>
  </si>
  <si>
    <t>Fraction of impervious area draining to BMP</t>
  </si>
  <si>
    <t>Annual volume discharged to sanitary sewer (ft3)</t>
  </si>
  <si>
    <t>Land area over which sanitary sewer volume applies (ft2)</t>
  </si>
  <si>
    <t>The sum of these three values for impervious area cannot exceed 100%</t>
  </si>
  <si>
    <t>% impervious area</t>
  </si>
  <si>
    <t>% pervious area</t>
  </si>
  <si>
    <t>% of impervious area draining to infiltration practice(s)</t>
  </si>
  <si>
    <t>% of impervious area draining to filtration practice(s)</t>
  </si>
  <si>
    <t>The sum of pervious and impervious area cannot exceed 100%</t>
  </si>
  <si>
    <t>Footprint of practice (% of total area draining to BMP)</t>
  </si>
  <si>
    <t>Link to MN precipitation data</t>
  </si>
  <si>
    <t>Pervious surfaces</t>
  </si>
  <si>
    <t>% of impervious area draining to a sedimentation practice</t>
  </si>
  <si>
    <t>Sedimentation practices</t>
  </si>
  <si>
    <t>Impervious=10%</t>
  </si>
  <si>
    <t>Impervious=30%</t>
  </si>
  <si>
    <t>Impervious=50%</t>
  </si>
  <si>
    <t>Impervious=70%</t>
  </si>
  <si>
    <r>
      <t xml:space="preserve">** To calculate infiltration, use the table or graph in the worksheet called </t>
    </r>
    <r>
      <rPr>
        <b/>
        <i/>
        <sz val="11"/>
        <color theme="1"/>
        <rFont val="Calibri"/>
        <family val="2"/>
        <scheme val="minor"/>
      </rPr>
      <t>Infiltration recharge rate</t>
    </r>
  </si>
  <si>
    <t>Infiltration practices**</t>
  </si>
  <si>
    <t>Filtration practices</t>
  </si>
  <si>
    <t>* On an annual basis, the fraction of piped inflow, sanitary sewer flow, or storm sewer flow; in cm/sec for sedimentation practices</t>
  </si>
  <si>
    <t>*** Infiltration represents annual groundwater recharge from a source</t>
  </si>
  <si>
    <t>This worksheet is protected and cannot be edited. It contains default values and equations</t>
  </si>
  <si>
    <t>Infiltration practices</t>
  </si>
  <si>
    <t>Annual loading (lbs/ac)</t>
  </si>
  <si>
    <t>Load (lbs/ac/yr)</t>
  </si>
  <si>
    <t>* On an annual basis, the fraction of piped inflow, sanitary sewer flow, or storm sewer flow that leaks out from infrastructure; in cm/sec for sedimentation practices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</si>
</sst>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2" fillId="0" borderId="6" xfId="1" applyFill="1" applyBorder="1" applyAlignment="1">
      <alignment horizontal="center" vertical="center" wrapText="1"/>
    </xf>
    <xf numFmtId="0" fontId="2" fillId="0" borderId="7" xfId="1" applyFill="1" applyBorder="1" applyAlignment="1">
      <alignment horizontal="center" vertical="center" wrapText="1"/>
    </xf>
    <xf numFmtId="0" fontId="2" fillId="0" borderId="2" xfId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5" fillId="7" borderId="13" xfId="0" applyFont="1" applyFill="1" applyBorder="1" applyAlignment="1">
      <alignment vertical="center" wrapText="1"/>
    </xf>
    <xf numFmtId="0" fontId="5" fillId="7" borderId="14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5" fontId="0" fillId="0" borderId="3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/>
    </xf>
    <xf numFmtId="2" fontId="0" fillId="2" borderId="0" xfId="0" applyNumberFormat="1" applyFill="1" applyBorder="1" applyAlignment="1">
      <alignment horizontal="center" vertical="center" wrapText="1"/>
    </xf>
    <xf numFmtId="165" fontId="0" fillId="2" borderId="0" xfId="0" applyNumberForma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" fontId="0" fillId="0" borderId="6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0" fillId="0" borderId="1" xfId="0" applyBorder="1"/>
    <xf numFmtId="2" fontId="0" fillId="0" borderId="1" xfId="0" applyNumberForma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'Loading calculator'!$D$9</c:f>
              <c:strCache>
                <c:ptCount val="1"/>
                <c:pt idx="0">
                  <c:v>Annual loading (lbs/ac)</c:v>
                </c:pt>
              </c:strCache>
            </c:strRef>
          </c:tx>
          <c:invertIfNegative val="0"/>
          <c:val>
            <c:numRef>
              <c:f>'Loading calculator'!$D$10:$D$18</c:f>
              <c:numCache>
                <c:formatCode>0.0</c:formatCode>
                <c:ptCount val="9"/>
                <c:pt idx="0">
                  <c:v>34.590799980000007</c:v>
                </c:pt>
                <c:pt idx="1">
                  <c:v>17.295399990000003</c:v>
                </c:pt>
                <c:pt idx="2">
                  <c:v>12.9715499925</c:v>
                </c:pt>
                <c:pt idx="3">
                  <c:v>18.23966835606846</c:v>
                </c:pt>
                <c:pt idx="4">
                  <c:v>4.3238499975000009</c:v>
                </c:pt>
                <c:pt idx="5">
                  <c:v>28.260457499999998</c:v>
                </c:pt>
                <c:pt idx="6">
                  <c:v>0</c:v>
                </c:pt>
                <c:pt idx="7">
                  <c:v>7.0223008945039362</c:v>
                </c:pt>
                <c:pt idx="8">
                  <c:v>2.7130039200000002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608-4B16-B97D-C3B5F4AF471D}"/>
            </c:ext>
          </c:extLst>
        </c:ser>
        <c:ser>
          <c:idx val="1"/>
          <c:order val="1"/>
          <c:tx>
            <c:strRef>
              <c:f>'Loading calculator'!$E$9</c:f>
              <c:strCache>
                <c:ptCount val="1"/>
                <c:pt idx="0">
                  <c:v>% of loading</c:v>
                </c:pt>
              </c:strCache>
            </c:strRef>
          </c:tx>
          <c:invertIfNegative val="0"/>
          <c:val>
            <c:numRef>
              <c:f>'Loading calculator'!$E$10:$E$18</c:f>
              <c:numCache>
                <c:formatCode>0.0</c:formatCode>
                <c:ptCount val="9"/>
                <c:pt idx="0">
                  <c:v>27.580624262976244</c:v>
                </c:pt>
                <c:pt idx="1">
                  <c:v>13.790312131488122</c:v>
                </c:pt>
                <c:pt idx="2">
                  <c:v>10.34273409861609</c:v>
                </c:pt>
                <c:pt idx="3">
                  <c:v>14.543214956025475</c:v>
                </c:pt>
                <c:pt idx="4">
                  <c:v>3.4475780328720305</c:v>
                </c:pt>
                <c:pt idx="5">
                  <c:v>22.533189757333528</c:v>
                </c:pt>
                <c:pt idx="6">
                  <c:v>0</c:v>
                </c:pt>
                <c:pt idx="7">
                  <c:v>5.5991605439844765</c:v>
                </c:pt>
                <c:pt idx="8">
                  <c:v>2.1631862167040188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608-4B16-B97D-C3B5F4AF4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15872"/>
        <c:axId val="161617792"/>
      </c:barChart>
      <c:catAx>
        <c:axId val="161615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1617792"/>
        <c:crosses val="autoZero"/>
        <c:auto val="1"/>
        <c:lblAlgn val="ctr"/>
        <c:lblOffset val="100"/>
        <c:noMultiLvlLbl val="0"/>
      </c:catAx>
      <c:valAx>
        <c:axId val="16161779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61615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'Infiltration recharge rate'!$K$2</c:f>
              <c:strCache>
                <c:ptCount val="1"/>
                <c:pt idx="0">
                  <c:v>Impervious=10%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'Infiltration recharge rate'!$J$3:$J$18</c:f>
              <c:numCache>
                <c:formatCode>General</c:formatCode>
                <c:ptCount val="16"/>
                <c:pt idx="0">
                  <c:v>0.1</c:v>
                </c:pt>
                <c:pt idx="1">
                  <c:v>0.4</c:v>
                </c:pt>
                <c:pt idx="2">
                  <c:v>0.7</c:v>
                </c:pt>
                <c:pt idx="3">
                  <c:v>1</c:v>
                </c:pt>
                <c:pt idx="4">
                  <c:v>0.1</c:v>
                </c:pt>
                <c:pt idx="5">
                  <c:v>0.4</c:v>
                </c:pt>
                <c:pt idx="6">
                  <c:v>0.7</c:v>
                </c:pt>
                <c:pt idx="7">
                  <c:v>1</c:v>
                </c:pt>
                <c:pt idx="8">
                  <c:v>0.1</c:v>
                </c:pt>
                <c:pt idx="9">
                  <c:v>0.4</c:v>
                </c:pt>
                <c:pt idx="10">
                  <c:v>0.7</c:v>
                </c:pt>
                <c:pt idx="11">
                  <c:v>1</c:v>
                </c:pt>
                <c:pt idx="12">
                  <c:v>0.1</c:v>
                </c:pt>
                <c:pt idx="13">
                  <c:v>0.4</c:v>
                </c:pt>
                <c:pt idx="14">
                  <c:v>0.7</c:v>
                </c:pt>
                <c:pt idx="15">
                  <c:v>1</c:v>
                </c:pt>
              </c:numCache>
            </c:numRef>
          </c:xVal>
          <c:yVal>
            <c:numRef>
              <c:f>'Infiltration recharge rate'!$K$3:$K$18</c:f>
              <c:numCache>
                <c:formatCode>General</c:formatCode>
                <c:ptCount val="16"/>
                <c:pt idx="0">
                  <c:v>0.25</c:v>
                </c:pt>
                <c:pt idx="1">
                  <c:v>0.99</c:v>
                </c:pt>
                <c:pt idx="2">
                  <c:v>1.73</c:v>
                </c:pt>
                <c:pt idx="3">
                  <c:v>2.48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02D-4B32-B9C8-20460C919795}"/>
            </c:ext>
          </c:extLst>
        </c:ser>
        <c:ser>
          <c:idx val="1"/>
          <c:order val="1"/>
          <c:tx>
            <c:strRef>
              <c:f>'Infiltration recharge rate'!$L$2</c:f>
              <c:strCache>
                <c:ptCount val="1"/>
                <c:pt idx="0">
                  <c:v>Impervious=30%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'Infiltration recharge rate'!$J$3:$J$18</c:f>
              <c:numCache>
                <c:formatCode>General</c:formatCode>
                <c:ptCount val="16"/>
                <c:pt idx="0">
                  <c:v>0.1</c:v>
                </c:pt>
                <c:pt idx="1">
                  <c:v>0.4</c:v>
                </c:pt>
                <c:pt idx="2">
                  <c:v>0.7</c:v>
                </c:pt>
                <c:pt idx="3">
                  <c:v>1</c:v>
                </c:pt>
                <c:pt idx="4">
                  <c:v>0.1</c:v>
                </c:pt>
                <c:pt idx="5">
                  <c:v>0.4</c:v>
                </c:pt>
                <c:pt idx="6">
                  <c:v>0.7</c:v>
                </c:pt>
                <c:pt idx="7">
                  <c:v>1</c:v>
                </c:pt>
                <c:pt idx="8">
                  <c:v>0.1</c:v>
                </c:pt>
                <c:pt idx="9">
                  <c:v>0.4</c:v>
                </c:pt>
                <c:pt idx="10">
                  <c:v>0.7</c:v>
                </c:pt>
                <c:pt idx="11">
                  <c:v>1</c:v>
                </c:pt>
                <c:pt idx="12">
                  <c:v>0.1</c:v>
                </c:pt>
                <c:pt idx="13">
                  <c:v>0.4</c:v>
                </c:pt>
                <c:pt idx="14">
                  <c:v>0.7</c:v>
                </c:pt>
                <c:pt idx="15">
                  <c:v>1</c:v>
                </c:pt>
              </c:numCache>
            </c:numRef>
          </c:xVal>
          <c:yVal>
            <c:numRef>
              <c:f>'Infiltration recharge rate'!$L$3:$L$18</c:f>
              <c:numCache>
                <c:formatCode>General</c:formatCode>
                <c:ptCount val="16"/>
                <c:pt idx="4">
                  <c:v>0.35</c:v>
                </c:pt>
                <c:pt idx="5">
                  <c:v>1.42</c:v>
                </c:pt>
                <c:pt idx="6">
                  <c:v>2.48</c:v>
                </c:pt>
                <c:pt idx="7">
                  <c:v>3.54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02D-4B32-B9C8-20460C919795}"/>
            </c:ext>
          </c:extLst>
        </c:ser>
        <c:ser>
          <c:idx val="2"/>
          <c:order val="2"/>
          <c:tx>
            <c:strRef>
              <c:f>'Infiltration recharge rate'!$M$2</c:f>
              <c:strCache>
                <c:ptCount val="1"/>
                <c:pt idx="0">
                  <c:v>Impervious=50%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'Infiltration recharge rate'!$J$3:$J$18</c:f>
              <c:numCache>
                <c:formatCode>General</c:formatCode>
                <c:ptCount val="16"/>
                <c:pt idx="0">
                  <c:v>0.1</c:v>
                </c:pt>
                <c:pt idx="1">
                  <c:v>0.4</c:v>
                </c:pt>
                <c:pt idx="2">
                  <c:v>0.7</c:v>
                </c:pt>
                <c:pt idx="3">
                  <c:v>1</c:v>
                </c:pt>
                <c:pt idx="4">
                  <c:v>0.1</c:v>
                </c:pt>
                <c:pt idx="5">
                  <c:v>0.4</c:v>
                </c:pt>
                <c:pt idx="6">
                  <c:v>0.7</c:v>
                </c:pt>
                <c:pt idx="7">
                  <c:v>1</c:v>
                </c:pt>
                <c:pt idx="8">
                  <c:v>0.1</c:v>
                </c:pt>
                <c:pt idx="9">
                  <c:v>0.4</c:v>
                </c:pt>
                <c:pt idx="10">
                  <c:v>0.7</c:v>
                </c:pt>
                <c:pt idx="11">
                  <c:v>1</c:v>
                </c:pt>
                <c:pt idx="12">
                  <c:v>0.1</c:v>
                </c:pt>
                <c:pt idx="13">
                  <c:v>0.4</c:v>
                </c:pt>
                <c:pt idx="14">
                  <c:v>0.7</c:v>
                </c:pt>
                <c:pt idx="15">
                  <c:v>1</c:v>
                </c:pt>
              </c:numCache>
            </c:numRef>
          </c:xVal>
          <c:yVal>
            <c:numRef>
              <c:f>'Infiltration recharge rate'!$M$3:$M$18</c:f>
              <c:numCache>
                <c:formatCode>General</c:formatCode>
                <c:ptCount val="16"/>
                <c:pt idx="8">
                  <c:v>0.5</c:v>
                </c:pt>
                <c:pt idx="9">
                  <c:v>1.98</c:v>
                </c:pt>
                <c:pt idx="10">
                  <c:v>3.47</c:v>
                </c:pt>
                <c:pt idx="11">
                  <c:v>4.96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02D-4B32-B9C8-20460C919795}"/>
            </c:ext>
          </c:extLst>
        </c:ser>
        <c:ser>
          <c:idx val="3"/>
          <c:order val="3"/>
          <c:tx>
            <c:strRef>
              <c:f>'Infiltration recharge rate'!$N$2</c:f>
              <c:strCache>
                <c:ptCount val="1"/>
                <c:pt idx="0">
                  <c:v>Impervious=70%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'Infiltration recharge rate'!$J$3:$J$18</c:f>
              <c:numCache>
                <c:formatCode>General</c:formatCode>
                <c:ptCount val="16"/>
                <c:pt idx="0">
                  <c:v>0.1</c:v>
                </c:pt>
                <c:pt idx="1">
                  <c:v>0.4</c:v>
                </c:pt>
                <c:pt idx="2">
                  <c:v>0.7</c:v>
                </c:pt>
                <c:pt idx="3">
                  <c:v>1</c:v>
                </c:pt>
                <c:pt idx="4">
                  <c:v>0.1</c:v>
                </c:pt>
                <c:pt idx="5">
                  <c:v>0.4</c:v>
                </c:pt>
                <c:pt idx="6">
                  <c:v>0.7</c:v>
                </c:pt>
                <c:pt idx="7">
                  <c:v>1</c:v>
                </c:pt>
                <c:pt idx="8">
                  <c:v>0.1</c:v>
                </c:pt>
                <c:pt idx="9">
                  <c:v>0.4</c:v>
                </c:pt>
                <c:pt idx="10">
                  <c:v>0.7</c:v>
                </c:pt>
                <c:pt idx="11">
                  <c:v>1</c:v>
                </c:pt>
                <c:pt idx="12">
                  <c:v>0.1</c:v>
                </c:pt>
                <c:pt idx="13">
                  <c:v>0.4</c:v>
                </c:pt>
                <c:pt idx="14">
                  <c:v>0.7</c:v>
                </c:pt>
                <c:pt idx="15">
                  <c:v>1</c:v>
                </c:pt>
              </c:numCache>
            </c:numRef>
          </c:xVal>
          <c:yVal>
            <c:numRef>
              <c:f>'Infiltration recharge rate'!$N$3:$N$18</c:f>
              <c:numCache>
                <c:formatCode>General</c:formatCode>
                <c:ptCount val="16"/>
                <c:pt idx="12">
                  <c:v>0.83</c:v>
                </c:pt>
                <c:pt idx="13">
                  <c:v>3.3</c:v>
                </c:pt>
                <c:pt idx="14">
                  <c:v>5.78</c:v>
                </c:pt>
                <c:pt idx="15">
                  <c:v>8.26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02D-4B32-B9C8-20460C919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542415"/>
        <c:axId val="1072632191"/>
      </c:scatterChart>
      <c:valAx>
        <c:axId val="97054241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of impervious draining to infiltration practices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2632191"/>
        <c:crosses val="autoZero"/>
        <c:crossBetween val="midCat"/>
      </c:valAx>
      <c:valAx>
        <c:axId val="1072632191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Recharge (inches)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5424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'Loading calculator'!$D$9</c:f>
              <c:strCache>
                <c:ptCount val="1"/>
                <c:pt idx="0">
                  <c:v>Annual loading (lbs/ac)</c:v>
                </c:pt>
              </c:strCache>
            </c:strRef>
          </c:tx>
          <c:invertIfNegative val="0"/>
          <c:val>
            <c:numRef>
              <c:f>'Loading calculator'!$D$10:$D$18</c:f>
              <c:numCache>
                <c:formatCode>0.0</c:formatCode>
                <c:ptCount val="9"/>
                <c:pt idx="0">
                  <c:v>34.590799980000007</c:v>
                </c:pt>
                <c:pt idx="1">
                  <c:v>17.295399990000003</c:v>
                </c:pt>
                <c:pt idx="2">
                  <c:v>12.9715499925</c:v>
                </c:pt>
                <c:pt idx="3">
                  <c:v>18.23966835606846</c:v>
                </c:pt>
                <c:pt idx="4">
                  <c:v>4.3238499975000009</c:v>
                </c:pt>
                <c:pt idx="5">
                  <c:v>28.260457499999998</c:v>
                </c:pt>
                <c:pt idx="6">
                  <c:v>0</c:v>
                </c:pt>
                <c:pt idx="7">
                  <c:v>7.0223008945039362</c:v>
                </c:pt>
                <c:pt idx="8">
                  <c:v>2.7130039200000002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D52-4CE8-AF73-C3CAB5854674}"/>
            </c:ext>
          </c:extLst>
        </c:ser>
        <c:ser>
          <c:idx val="1"/>
          <c:order val="1"/>
          <c:tx>
            <c:strRef>
              <c:f>'Loading calculator'!$E$9</c:f>
              <c:strCache>
                <c:ptCount val="1"/>
                <c:pt idx="0">
                  <c:v>% of loading</c:v>
                </c:pt>
              </c:strCache>
            </c:strRef>
          </c:tx>
          <c:invertIfNegative val="0"/>
          <c:val>
            <c:numRef>
              <c:f>'Loading calculator'!$E$10:$E$18</c:f>
              <c:numCache>
                <c:formatCode>0.0</c:formatCode>
                <c:ptCount val="9"/>
                <c:pt idx="0">
                  <c:v>27.580624262976244</c:v>
                </c:pt>
                <c:pt idx="1">
                  <c:v>13.790312131488122</c:v>
                </c:pt>
                <c:pt idx="2">
                  <c:v>10.34273409861609</c:v>
                </c:pt>
                <c:pt idx="3">
                  <c:v>14.543214956025475</c:v>
                </c:pt>
                <c:pt idx="4">
                  <c:v>3.4475780328720305</c:v>
                </c:pt>
                <c:pt idx="5">
                  <c:v>22.533189757333528</c:v>
                </c:pt>
                <c:pt idx="6">
                  <c:v>0</c:v>
                </c:pt>
                <c:pt idx="7">
                  <c:v>5.5991605439844765</c:v>
                </c:pt>
                <c:pt idx="8">
                  <c:v>2.1631862167040188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D52-4CE8-AF73-C3CAB5854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15872"/>
        <c:axId val="161617792"/>
      </c:barChart>
      <c:catAx>
        <c:axId val="161615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1617792"/>
        <c:crosses val="autoZero"/>
        <c:auto val="1"/>
        <c:lblAlgn val="ctr"/>
        <c:lblOffset val="100"/>
        <c:noMultiLvlLbl val="0"/>
      </c:catAx>
      <c:valAx>
        <c:axId val="16161779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61615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'Pie charts'!$B$1</c:f>
              <c:strCache>
                <c:ptCount val="1"/>
                <c:pt idx="0">
                  <c:v>Load (lbs/ac/yr)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'Pie charts'!$A$2:$A$10</c:f>
              <c:strCache>
                <c:ptCount val="9"/>
                <c:pt idx="0">
                  <c:v>Pervious surfaces</c:v>
                </c:pt>
                <c:pt idx="1">
                  <c:v>Impervious surfaces</c:v>
                </c:pt>
                <c:pt idx="2">
                  <c:v>Piped inflow</c:v>
                </c:pt>
                <c:pt idx="3">
                  <c:v>Sanitary sewer leakage</c:v>
                </c:pt>
                <c:pt idx="4">
                  <c:v>Storm sewer leakage</c:v>
                </c:pt>
                <c:pt idx="5">
                  <c:v>Infiltration practices</c:v>
                </c:pt>
                <c:pt idx="6">
                  <c:v>Surface water discharges</c:v>
                </c:pt>
                <c:pt idx="7">
                  <c:v>Sedimentation practices</c:v>
                </c:pt>
                <c:pt idx="8">
                  <c:v>Filtration practices</c:v>
                </c:pt>
              </c:strCache>
            </c:strRef>
          </c:cat>
          <c:val>
            <c:numRef>
              <c:f>'Pie charts'!$B$2:$B$10</c:f>
              <c:numCache>
                <c:formatCode>0.00</c:formatCode>
                <c:ptCount val="9"/>
                <c:pt idx="0">
                  <c:v>34.590799980000007</c:v>
                </c:pt>
                <c:pt idx="1">
                  <c:v>17.295399990000003</c:v>
                </c:pt>
                <c:pt idx="2">
                  <c:v>12.9715499925</c:v>
                </c:pt>
                <c:pt idx="3">
                  <c:v>18.23966835606846</c:v>
                </c:pt>
                <c:pt idx="4">
                  <c:v>4.3238499975000009</c:v>
                </c:pt>
                <c:pt idx="5">
                  <c:v>28.260457499999998</c:v>
                </c:pt>
                <c:pt idx="6">
                  <c:v>0</c:v>
                </c:pt>
                <c:pt idx="7">
                  <c:v>7.0223008945039362</c:v>
                </c:pt>
                <c:pt idx="8">
                  <c:v>2.7130039200000002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1-4416-B42C-3527FA6B408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46</xdr:row>
      <xdr:rowOff>171450</xdr:rowOff>
    </xdr:from>
    <xdr:to>
      <xdr:col>4</xdr:col>
      <xdr:colOff>295275</xdr:colOff>
      <xdr:row>63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231774</xdr:colOff>
      <xdr:row>0</xdr:row>
      <xdr:rowOff>165100</xdr:rowOff>
    </xdr:from>
    <xdr:to>
      <xdr:col>8</xdr:col>
      <xdr:colOff>946149</xdr:colOff>
      <xdr:row>16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CB7065-C678-4AF4-A2F2-2CB221CCB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47</xdr:row>
      <xdr:rowOff>171450</xdr:rowOff>
    </xdr:from>
    <xdr:to>
      <xdr:col>4</xdr:col>
      <xdr:colOff>295275</xdr:colOff>
      <xdr:row>64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4BCEA8-1109-4704-941A-0091BC7B6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206374</xdr:colOff>
      <xdr:row>0</xdr:row>
      <xdr:rowOff>44450</xdr:rowOff>
    </xdr:from>
    <xdr:to>
      <xdr:col>14</xdr:col>
      <xdr:colOff>425449</xdr:colOff>
      <xdr:row>22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248185-C2C5-4D4C-918D-CF5D1AB2D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sclimatedata.com/climate/minnesota/united-states/319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usclimatedata.com/climate/minnesota/united-states/319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workbookViewId="0">
      <selection activeCell="B17" sqref="B17"/>
    </sheetView>
  </sheetViews>
  <sheetFormatPr defaultColWidth="9.1796875" defaultRowHeight="14.5" x14ac:dyDescent="0.35"/>
  <cols>
    <col min="1" max="1" width="24.1796875" style="4" customWidth="1"/>
    <col min="2" max="2" width="10.6328125" style="4" bestFit="1" customWidth="1"/>
    <col min="3" max="3" width="15.54296875" style="4" bestFit="1" customWidth="1"/>
    <col min="4" max="4" width="13.36328125" style="4" bestFit="1" customWidth="1"/>
    <col min="5" max="5" width="11" style="4" bestFit="1" customWidth="1"/>
    <col min="6" max="6" width="5.6328125" style="4" bestFit="1" customWidth="1"/>
    <col min="7" max="7" width="18.7265625" style="4" customWidth="1"/>
    <col min="8" max="8" width="16.90625" style="4" customWidth="1"/>
    <col min="9" max="9" width="13.26953125" style="4" customWidth="1"/>
    <col min="10" max="10" width="9.54296875" style="4" customWidth="1"/>
    <col min="11" max="11" width="12.36328125" style="4" customWidth="1"/>
    <col min="12" max="12" width="15.26953125" style="60" customWidth="1"/>
    <col min="13" max="17" width="9.1796875" style="62"/>
    <col min="18" max="18" width="9.1796875" style="10"/>
    <col min="19" max="16384" width="9.1796875" style="4"/>
  </cols>
  <sheetData>
    <row r="1" spans="1:18" s="3" customFormat="1" x14ac:dyDescent="0.35">
      <c r="A1" s="37" t="s">
        <v>17</v>
      </c>
      <c r="B1" s="38"/>
      <c r="C1" s="39"/>
      <c r="D1" s="3" t="s">
        <v>18</v>
      </c>
      <c r="E1" s="56"/>
      <c r="F1" s="57"/>
      <c r="G1" s="58"/>
      <c r="H1" s="47"/>
      <c r="I1" s="48"/>
      <c r="J1" s="48"/>
      <c r="K1" s="48"/>
      <c r="L1" s="49"/>
      <c r="M1" s="73"/>
      <c r="N1" s="73"/>
      <c r="O1" s="73"/>
      <c r="P1" s="73"/>
      <c r="Q1" s="73"/>
      <c r="R1" s="17"/>
    </row>
    <row r="2" spans="1:18" x14ac:dyDescent="0.35">
      <c r="A2" s="40" t="s">
        <v>19</v>
      </c>
      <c r="B2" s="41"/>
      <c r="C2" s="42"/>
      <c r="D2" s="4">
        <v>30.6</v>
      </c>
      <c r="E2" s="34" t="s">
        <v>30</v>
      </c>
      <c r="F2" s="35"/>
      <c r="G2" s="36"/>
      <c r="H2" s="50"/>
      <c r="I2" s="51"/>
      <c r="J2" s="51"/>
      <c r="K2" s="51"/>
      <c r="L2" s="52"/>
    </row>
    <row r="3" spans="1:18" x14ac:dyDescent="0.35">
      <c r="A3" s="40" t="s">
        <v>24</v>
      </c>
      <c r="B3" s="41"/>
      <c r="C3" s="42"/>
      <c r="D3" s="4">
        <v>50</v>
      </c>
      <c r="E3" s="28" t="s">
        <v>28</v>
      </c>
      <c r="F3" s="29"/>
      <c r="G3" s="30"/>
      <c r="H3" s="50"/>
      <c r="I3" s="51"/>
      <c r="J3" s="51"/>
      <c r="K3" s="51"/>
      <c r="L3" s="52"/>
    </row>
    <row r="4" spans="1:18" x14ac:dyDescent="0.35">
      <c r="A4" s="40" t="s">
        <v>25</v>
      </c>
      <c r="B4" s="41"/>
      <c r="C4" s="42"/>
      <c r="D4" s="4">
        <f>100-D3</f>
        <v>50</v>
      </c>
      <c r="E4" s="31"/>
      <c r="F4" s="32"/>
      <c r="G4" s="33"/>
      <c r="H4" s="50"/>
      <c r="I4" s="51"/>
      <c r="J4" s="51"/>
      <c r="K4" s="51"/>
      <c r="L4" s="52"/>
    </row>
    <row r="5" spans="1:18" ht="14.5" customHeight="1" x14ac:dyDescent="0.35">
      <c r="A5" s="40" t="s">
        <v>26</v>
      </c>
      <c r="B5" s="41"/>
      <c r="C5" s="42"/>
      <c r="D5" s="4">
        <v>50</v>
      </c>
      <c r="E5" s="22" t="s">
        <v>23</v>
      </c>
      <c r="F5" s="23"/>
      <c r="G5" s="24"/>
      <c r="H5" s="50"/>
      <c r="I5" s="51"/>
      <c r="J5" s="51"/>
      <c r="K5" s="51"/>
      <c r="L5" s="52"/>
    </row>
    <row r="6" spans="1:18" x14ac:dyDescent="0.35">
      <c r="A6" s="40" t="s">
        <v>27</v>
      </c>
      <c r="B6" s="41"/>
      <c r="C6" s="42"/>
      <c r="D6" s="4">
        <v>25</v>
      </c>
      <c r="E6" s="25"/>
      <c r="F6" s="26"/>
      <c r="G6" s="27"/>
      <c r="H6" s="50"/>
      <c r="I6" s="51"/>
      <c r="J6" s="51"/>
      <c r="K6" s="51"/>
      <c r="L6" s="52"/>
    </row>
    <row r="7" spans="1:18" x14ac:dyDescent="0.35">
      <c r="A7" s="40" t="s">
        <v>32</v>
      </c>
      <c r="B7" s="41"/>
      <c r="C7" s="42"/>
      <c r="D7" s="4">
        <v>25</v>
      </c>
      <c r="E7" s="25"/>
      <c r="F7" s="26"/>
      <c r="G7" s="27"/>
      <c r="H7" s="53"/>
      <c r="I7" s="54"/>
      <c r="J7" s="54"/>
      <c r="K7" s="54"/>
      <c r="L7" s="55"/>
    </row>
    <row r="8" spans="1:18" ht="7" customHeight="1" x14ac:dyDescent="0.35">
      <c r="A8" s="43"/>
      <c r="B8" s="43"/>
      <c r="C8" s="43"/>
      <c r="D8" s="43"/>
      <c r="E8" s="44"/>
      <c r="F8" s="45"/>
      <c r="G8" s="46"/>
      <c r="H8" s="43"/>
      <c r="I8" s="43"/>
      <c r="J8" s="43"/>
      <c r="K8" s="43"/>
      <c r="L8" s="70"/>
    </row>
    <row r="9" spans="1:18" s="3" customFormat="1" ht="72.5" x14ac:dyDescent="0.35">
      <c r="A9" s="3" t="s">
        <v>0</v>
      </c>
      <c r="B9" s="3" t="s">
        <v>1</v>
      </c>
      <c r="C9" s="3" t="s">
        <v>2</v>
      </c>
      <c r="D9" s="3" t="s">
        <v>45</v>
      </c>
      <c r="E9" s="3" t="s">
        <v>4</v>
      </c>
      <c r="F9" s="3" t="s">
        <v>16</v>
      </c>
      <c r="G9" s="3" t="s">
        <v>13</v>
      </c>
      <c r="H9" s="3" t="s">
        <v>5</v>
      </c>
      <c r="I9" s="3" t="s">
        <v>29</v>
      </c>
      <c r="J9" s="3" t="s">
        <v>6</v>
      </c>
      <c r="K9" s="3" t="s">
        <v>21</v>
      </c>
      <c r="L9" s="16" t="s">
        <v>22</v>
      </c>
      <c r="M9" s="73"/>
      <c r="N9" s="73"/>
      <c r="O9" s="73"/>
      <c r="P9" s="73"/>
      <c r="Q9" s="73"/>
      <c r="R9" s="17"/>
    </row>
    <row r="10" spans="1:18" x14ac:dyDescent="0.35">
      <c r="A10" s="4" t="s">
        <v>31</v>
      </c>
      <c r="B10" s="5">
        <f>D4*0.01*G10*D2</f>
        <v>3.0600000000000005</v>
      </c>
      <c r="C10" s="4">
        <v>50</v>
      </c>
      <c r="D10" s="6">
        <f>B10/12*43560*0.0000022*28.31*C10</f>
        <v>34.590799980000007</v>
      </c>
      <c r="E10" s="6">
        <f t="shared" ref="E10:E18" si="0">D10/$D$19*100</f>
        <v>27.580624262976244</v>
      </c>
      <c r="F10" s="6">
        <f>D10/0.892179</f>
        <v>38.771143436462864</v>
      </c>
      <c r="G10" s="4">
        <v>0.2</v>
      </c>
      <c r="H10" s="2"/>
      <c r="I10" s="2"/>
      <c r="J10" s="2"/>
      <c r="K10" s="2"/>
      <c r="L10" s="71"/>
    </row>
    <row r="11" spans="1:18" x14ac:dyDescent="0.35">
      <c r="A11" s="4" t="s">
        <v>7</v>
      </c>
      <c r="B11" s="5">
        <f>D3*0.01*G11*D2</f>
        <v>1.5300000000000002</v>
      </c>
      <c r="C11" s="4">
        <v>50</v>
      </c>
      <c r="D11" s="6">
        <f t="shared" ref="D11:D16" si="1">B11/12*43560*0.0000022*28.31*C11</f>
        <v>17.295399990000003</v>
      </c>
      <c r="E11" s="6">
        <f t="shared" si="0"/>
        <v>13.790312131488122</v>
      </c>
      <c r="F11" s="6">
        <f t="shared" ref="F11:F18" si="2">D11/0.892179</f>
        <v>19.385571718231432</v>
      </c>
      <c r="G11" s="4">
        <v>0.1</v>
      </c>
      <c r="H11" s="2"/>
      <c r="I11" s="2"/>
      <c r="J11" s="2"/>
      <c r="K11" s="2"/>
      <c r="L11" s="71"/>
    </row>
    <row r="12" spans="1:18" x14ac:dyDescent="0.35">
      <c r="A12" s="4" t="s">
        <v>8</v>
      </c>
      <c r="B12" s="5">
        <f>G12*J12*D2</f>
        <v>2.2949999999999999</v>
      </c>
      <c r="C12" s="4">
        <v>25</v>
      </c>
      <c r="D12" s="6">
        <f t="shared" si="1"/>
        <v>12.9715499925</v>
      </c>
      <c r="E12" s="6">
        <f t="shared" si="0"/>
        <v>10.34273409861609</v>
      </c>
      <c r="F12" s="6">
        <f t="shared" si="2"/>
        <v>14.539178788673572</v>
      </c>
      <c r="G12" s="4">
        <v>0.5</v>
      </c>
      <c r="H12" s="2"/>
      <c r="I12" s="2"/>
      <c r="J12" s="4">
        <v>0.15</v>
      </c>
      <c r="K12" s="2"/>
      <c r="L12" s="71"/>
    </row>
    <row r="13" spans="1:18" x14ac:dyDescent="0.35">
      <c r="A13" s="4" t="s">
        <v>9</v>
      </c>
      <c r="B13" s="5">
        <f>J13*K13/L13*12</f>
        <v>0.28813083042022808</v>
      </c>
      <c r="C13" s="4">
        <v>280</v>
      </c>
      <c r="D13" s="6">
        <f t="shared" si="1"/>
        <v>18.23966835606846</v>
      </c>
      <c r="E13" s="6">
        <f t="shared" si="0"/>
        <v>14.543214956025475</v>
      </c>
      <c r="F13" s="6">
        <f t="shared" si="2"/>
        <v>20.443956152373524</v>
      </c>
      <c r="G13" s="2"/>
      <c r="H13" s="2"/>
      <c r="I13" s="2"/>
      <c r="J13" s="4">
        <v>0.05</v>
      </c>
      <c r="K13" s="7">
        <f>64000000000*0.133681</f>
        <v>8555584000</v>
      </c>
      <c r="L13" s="72">
        <f>43560*409000</f>
        <v>17816040000</v>
      </c>
    </row>
    <row r="14" spans="1:18" x14ac:dyDescent="0.35">
      <c r="A14" s="4" t="s">
        <v>10</v>
      </c>
      <c r="B14" s="5">
        <f>D3*0.01*D2*G14*J14</f>
        <v>0.38250000000000006</v>
      </c>
      <c r="C14" s="4">
        <v>50</v>
      </c>
      <c r="D14" s="6">
        <f t="shared" si="1"/>
        <v>4.3238499975000009</v>
      </c>
      <c r="E14" s="6">
        <f t="shared" si="0"/>
        <v>3.4475780328720305</v>
      </c>
      <c r="F14" s="6">
        <f t="shared" si="2"/>
        <v>4.8463929295578581</v>
      </c>
      <c r="G14" s="4">
        <v>0.5</v>
      </c>
      <c r="H14" s="2"/>
      <c r="I14" s="2"/>
      <c r="J14" s="4">
        <v>0.05</v>
      </c>
      <c r="K14" s="2"/>
      <c r="L14" s="71"/>
    </row>
    <row r="15" spans="1:18" x14ac:dyDescent="0.35">
      <c r="A15" s="4" t="s">
        <v>39</v>
      </c>
      <c r="B15" s="5">
        <v>2.5</v>
      </c>
      <c r="C15" s="4">
        <v>50</v>
      </c>
      <c r="D15" s="6">
        <f t="shared" si="1"/>
        <v>28.260457499999998</v>
      </c>
      <c r="E15" s="6">
        <f t="shared" si="0"/>
        <v>22.533189757333528</v>
      </c>
      <c r="F15" s="6">
        <f t="shared" si="2"/>
        <v>31.675770781423903</v>
      </c>
      <c r="G15" s="2"/>
      <c r="H15" s="2"/>
      <c r="I15" s="2"/>
      <c r="J15" s="2"/>
      <c r="K15" s="2"/>
      <c r="L15" s="71"/>
    </row>
    <row r="16" spans="1:18" x14ac:dyDescent="0.35">
      <c r="A16" s="4" t="s">
        <v>11</v>
      </c>
      <c r="B16" s="5">
        <v>0</v>
      </c>
      <c r="C16" s="4">
        <v>87</v>
      </c>
      <c r="D16" s="6">
        <f t="shared" si="1"/>
        <v>0</v>
      </c>
      <c r="E16" s="6">
        <f t="shared" si="0"/>
        <v>0</v>
      </c>
      <c r="F16" s="6">
        <f t="shared" si="2"/>
        <v>0</v>
      </c>
      <c r="G16" s="2"/>
      <c r="H16" s="2"/>
      <c r="I16" s="2"/>
      <c r="J16" s="2"/>
      <c r="K16" s="2"/>
      <c r="L16" s="71"/>
    </row>
    <row r="17" spans="1:12" x14ac:dyDescent="0.35">
      <c r="A17" s="4" t="s">
        <v>33</v>
      </c>
      <c r="B17" s="5">
        <f>J17*I17*H17*3600*24*365.25/2.54</f>
        <v>6.2121259842519677E-2</v>
      </c>
      <c r="C17" s="4">
        <v>500</v>
      </c>
      <c r="D17" s="6">
        <f>B17/12*43560*0.0000022*28.31*C17</f>
        <v>7.0223008945039362</v>
      </c>
      <c r="E17" s="6">
        <f t="shared" si="0"/>
        <v>5.5991605439844765</v>
      </c>
      <c r="F17" s="6">
        <f t="shared" si="2"/>
        <v>7.8709551496997081</v>
      </c>
      <c r="G17" s="2"/>
      <c r="H17" s="4">
        <f>D7*0.01</f>
        <v>0.25</v>
      </c>
      <c r="I17" s="4">
        <v>0.02</v>
      </c>
      <c r="J17" s="4">
        <v>9.9999999999999995E-7</v>
      </c>
      <c r="K17" s="2"/>
      <c r="L17" s="71"/>
    </row>
    <row r="18" spans="1:12" x14ac:dyDescent="0.35">
      <c r="A18" s="4" t="s">
        <v>40</v>
      </c>
      <c r="B18" s="5">
        <v>1.2</v>
      </c>
      <c r="C18" s="4">
        <v>50</v>
      </c>
      <c r="D18" s="6">
        <f>B18/12*43560*0.0000022*28.31*C18*G18</f>
        <v>2.7130039200000002</v>
      </c>
      <c r="E18" s="6">
        <f t="shared" si="0"/>
        <v>2.1631862167040188</v>
      </c>
      <c r="F18" s="6">
        <f t="shared" si="2"/>
        <v>3.0408739950166952</v>
      </c>
      <c r="G18" s="4">
        <v>0.2</v>
      </c>
      <c r="H18" s="64"/>
      <c r="I18" s="64"/>
      <c r="J18" s="64"/>
      <c r="K18" s="64"/>
      <c r="L18" s="69"/>
    </row>
    <row r="19" spans="1:12" x14ac:dyDescent="0.35">
      <c r="A19" s="9" t="s">
        <v>12</v>
      </c>
      <c r="B19" s="63">
        <f>SUM(B10:B18)</f>
        <v>11.317752090262749</v>
      </c>
      <c r="C19" s="64"/>
      <c r="D19" s="65">
        <f>SUM(D10:D18)</f>
        <v>125.41703063057243</v>
      </c>
      <c r="E19" s="65">
        <f>SUM(E10:E18)</f>
        <v>100</v>
      </c>
      <c r="F19" s="65">
        <f>SUM(F10:F18)</f>
        <v>140.57384295143953</v>
      </c>
      <c r="G19" s="69"/>
      <c r="H19" s="69"/>
      <c r="I19" s="69"/>
      <c r="J19" s="69"/>
      <c r="K19" s="69"/>
      <c r="L19" s="69"/>
    </row>
    <row r="20" spans="1:12" x14ac:dyDescent="0.35">
      <c r="A20" s="66" t="s">
        <v>47</v>
      </c>
      <c r="B20" s="67"/>
      <c r="C20" s="67"/>
      <c r="D20" s="68"/>
      <c r="E20" s="68"/>
      <c r="F20" s="62"/>
      <c r="G20" s="62"/>
      <c r="H20" s="62"/>
      <c r="I20" s="62"/>
      <c r="J20" s="62"/>
      <c r="K20" s="62"/>
      <c r="L20" s="62"/>
    </row>
    <row r="21" spans="1:12" x14ac:dyDescent="0.35">
      <c r="A21" s="66" t="s">
        <v>38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</row>
    <row r="22" spans="1:12" x14ac:dyDescent="0.35">
      <c r="A22" s="66" t="s">
        <v>42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</row>
    <row r="23" spans="1:12" x14ac:dyDescent="0.3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</row>
    <row r="24" spans="1:12" x14ac:dyDescent="0.35">
      <c r="A24" s="12"/>
      <c r="B24" s="12"/>
      <c r="C24" s="12"/>
      <c r="D24" s="12"/>
      <c r="E24" s="12"/>
      <c r="F24" s="12"/>
      <c r="G24" s="12"/>
      <c r="H24" s="61"/>
      <c r="I24" s="12"/>
      <c r="J24" s="12"/>
      <c r="K24" s="12"/>
      <c r="L24" s="59"/>
    </row>
    <row r="25" spans="1:12" x14ac:dyDescent="0.35">
      <c r="H25" s="10"/>
    </row>
    <row r="26" spans="1:12" x14ac:dyDescent="0.35">
      <c r="H26" s="10"/>
    </row>
    <row r="27" spans="1:12" x14ac:dyDescent="0.35">
      <c r="H27" s="10"/>
    </row>
    <row r="28" spans="1:12" x14ac:dyDescent="0.35">
      <c r="H28" s="10"/>
    </row>
    <row r="29" spans="1:12" x14ac:dyDescent="0.35">
      <c r="H29" s="10"/>
    </row>
    <row r="30" spans="1:12" x14ac:dyDescent="0.35">
      <c r="H30" s="10"/>
    </row>
    <row r="31" spans="1:12" x14ac:dyDescent="0.35">
      <c r="H31" s="10"/>
    </row>
    <row r="32" spans="1:12" x14ac:dyDescent="0.35">
      <c r="H32" s="10"/>
    </row>
    <row r="33" spans="1:8" x14ac:dyDescent="0.35">
      <c r="D33" s="12"/>
      <c r="E33" s="12"/>
      <c r="H33" s="10"/>
    </row>
    <row r="34" spans="1:8" x14ac:dyDescent="0.35">
      <c r="H34" s="10"/>
    </row>
    <row r="35" spans="1:8" x14ac:dyDescent="0.35">
      <c r="H35" s="10"/>
    </row>
    <row r="36" spans="1:8" x14ac:dyDescent="0.35">
      <c r="H36" s="10"/>
    </row>
    <row r="37" spans="1:8" x14ac:dyDescent="0.35">
      <c r="H37" s="10"/>
    </row>
    <row r="38" spans="1:8" x14ac:dyDescent="0.35">
      <c r="H38" s="10"/>
    </row>
    <row r="39" spans="1:8" x14ac:dyDescent="0.35">
      <c r="H39" s="10"/>
    </row>
    <row r="40" spans="1:8" x14ac:dyDescent="0.35">
      <c r="A40" s="11"/>
      <c r="B40" s="11"/>
      <c r="C40" s="11"/>
      <c r="H40" s="10"/>
    </row>
    <row r="41" spans="1:8" x14ac:dyDescent="0.35">
      <c r="A41" s="11"/>
      <c r="B41" s="11"/>
      <c r="C41" s="11"/>
    </row>
    <row r="42" spans="1:8" x14ac:dyDescent="0.35">
      <c r="A42" s="11"/>
      <c r="B42" s="11"/>
      <c r="C42" s="11"/>
    </row>
    <row r="43" spans="1:8" x14ac:dyDescent="0.35">
      <c r="A43" s="12"/>
      <c r="B43" s="13"/>
      <c r="C43" s="12"/>
    </row>
    <row r="44" spans="1:8" x14ac:dyDescent="0.35">
      <c r="B44" s="8"/>
    </row>
    <row r="45" spans="1:8" x14ac:dyDescent="0.35">
      <c r="B45" s="8"/>
    </row>
    <row r="46" spans="1:8" x14ac:dyDescent="0.35">
      <c r="B46" s="14"/>
    </row>
    <row r="47" spans="1:8" x14ac:dyDescent="0.35">
      <c r="B47" s="8"/>
    </row>
    <row r="48" spans="1:8" x14ac:dyDescent="0.35">
      <c r="B48" s="8"/>
    </row>
    <row r="49" spans="2:2" x14ac:dyDescent="0.35">
      <c r="B49" s="8"/>
    </row>
    <row r="50" spans="2:2" x14ac:dyDescent="0.35">
      <c r="B50" s="8"/>
    </row>
    <row r="51" spans="2:2" x14ac:dyDescent="0.35">
      <c r="B51" s="8"/>
    </row>
  </sheetData>
  <mergeCells count="12">
    <mergeCell ref="H1:L7"/>
    <mergeCell ref="E1:G1"/>
    <mergeCell ref="E5:G7"/>
    <mergeCell ref="E3:G4"/>
    <mergeCell ref="E2:G2"/>
    <mergeCell ref="A1:C1"/>
    <mergeCell ref="A4:C4"/>
    <mergeCell ref="A3:C3"/>
    <mergeCell ref="A2:C2"/>
    <mergeCell ref="A5:C5"/>
    <mergeCell ref="A6:C6"/>
    <mergeCell ref="A7:C7"/>
  </mergeCells>
  <hyperlinks>
    <hyperlink ref="E2:G2" r:id="rId1" display="Link to MN precipitation data" xr:uid="{035AF0AD-F03D-4F3A-9452-E58DD8F7A4BB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1AC3E-5965-4632-A10A-C1E123DE56D6}">
  <dimension ref="A2:N18"/>
  <sheetViews>
    <sheetView workbookViewId="0">
      <selection activeCell="C19" sqref="C19"/>
    </sheetView>
  </sheetViews>
  <sheetFormatPr defaultColWidth="20.90625" defaultRowHeight="14.5" x14ac:dyDescent="0.35"/>
  <cols>
    <col min="1" max="1" width="13.453125" style="20" bestFit="1" customWidth="1"/>
    <col min="2" max="2" width="19.7265625" style="20" bestFit="1" customWidth="1"/>
    <col min="3" max="3" width="16.81640625" style="20" bestFit="1" customWidth="1"/>
    <col min="4" max="9" width="19.7265625" style="20" customWidth="1"/>
    <col min="10" max="10" width="14.26953125" style="20" customWidth="1"/>
    <col min="11" max="16384" width="20.90625" style="20"/>
  </cols>
  <sheetData>
    <row r="2" spans="1:14" ht="58" x14ac:dyDescent="0.35">
      <c r="A2" s="1" t="s">
        <v>15</v>
      </c>
      <c r="B2" s="1" t="s">
        <v>20</v>
      </c>
      <c r="C2" s="18" t="s">
        <v>14</v>
      </c>
      <c r="J2" s="1" t="s">
        <v>20</v>
      </c>
      <c r="K2" s="21" t="s">
        <v>34</v>
      </c>
      <c r="L2" s="21" t="s">
        <v>35</v>
      </c>
      <c r="M2" s="21" t="s">
        <v>36</v>
      </c>
      <c r="N2" s="21" t="s">
        <v>37</v>
      </c>
    </row>
    <row r="3" spans="1:14" x14ac:dyDescent="0.35">
      <c r="A3" s="15">
        <v>10</v>
      </c>
      <c r="B3" s="15">
        <v>0.1</v>
      </c>
      <c r="C3" s="19">
        <v>0.25</v>
      </c>
      <c r="J3" s="15">
        <v>0.1</v>
      </c>
      <c r="K3" s="19">
        <v>0.25</v>
      </c>
    </row>
    <row r="4" spans="1:14" x14ac:dyDescent="0.35">
      <c r="A4" s="15">
        <v>10</v>
      </c>
      <c r="B4" s="15">
        <v>0.4</v>
      </c>
      <c r="C4" s="19">
        <v>0.99</v>
      </c>
      <c r="J4" s="15">
        <v>0.4</v>
      </c>
      <c r="K4" s="19">
        <v>0.99</v>
      </c>
    </row>
    <row r="5" spans="1:14" x14ac:dyDescent="0.35">
      <c r="A5" s="15">
        <v>10</v>
      </c>
      <c r="B5" s="15">
        <v>0.7</v>
      </c>
      <c r="C5" s="19">
        <v>1.73</v>
      </c>
      <c r="J5" s="15">
        <v>0.7</v>
      </c>
      <c r="K5" s="19">
        <v>1.73</v>
      </c>
    </row>
    <row r="6" spans="1:14" x14ac:dyDescent="0.35">
      <c r="A6" s="15">
        <v>10</v>
      </c>
      <c r="B6" s="15">
        <v>1</v>
      </c>
      <c r="C6" s="19">
        <v>2.48</v>
      </c>
      <c r="J6" s="15">
        <v>1</v>
      </c>
      <c r="K6" s="19">
        <v>2.48</v>
      </c>
    </row>
    <row r="7" spans="1:14" x14ac:dyDescent="0.35">
      <c r="A7" s="15">
        <v>30</v>
      </c>
      <c r="B7" s="15">
        <v>0.1</v>
      </c>
      <c r="C7" s="19">
        <v>0.35</v>
      </c>
      <c r="J7" s="15">
        <v>0.1</v>
      </c>
      <c r="L7" s="19">
        <v>0.35</v>
      </c>
    </row>
    <row r="8" spans="1:14" x14ac:dyDescent="0.35">
      <c r="A8" s="15">
        <v>30</v>
      </c>
      <c r="B8" s="15">
        <v>0.4</v>
      </c>
      <c r="C8" s="19">
        <v>1.42</v>
      </c>
      <c r="J8" s="15">
        <v>0.4</v>
      </c>
      <c r="L8" s="19">
        <v>1.42</v>
      </c>
    </row>
    <row r="9" spans="1:14" x14ac:dyDescent="0.35">
      <c r="A9" s="15">
        <v>30</v>
      </c>
      <c r="B9" s="15">
        <v>0.7</v>
      </c>
      <c r="C9" s="19">
        <v>2.48</v>
      </c>
      <c r="J9" s="15">
        <v>0.7</v>
      </c>
      <c r="L9" s="19">
        <v>2.48</v>
      </c>
    </row>
    <row r="10" spans="1:14" x14ac:dyDescent="0.35">
      <c r="A10" s="15">
        <v>30</v>
      </c>
      <c r="B10" s="15">
        <v>1</v>
      </c>
      <c r="C10" s="19">
        <v>3.54</v>
      </c>
      <c r="J10" s="15">
        <v>1</v>
      </c>
      <c r="L10" s="19">
        <v>3.54</v>
      </c>
    </row>
    <row r="11" spans="1:14" x14ac:dyDescent="0.35">
      <c r="A11" s="15">
        <v>50</v>
      </c>
      <c r="B11" s="15">
        <v>0.1</v>
      </c>
      <c r="C11" s="19">
        <v>0.5</v>
      </c>
      <c r="J11" s="15">
        <v>0.1</v>
      </c>
      <c r="M11" s="19">
        <v>0.5</v>
      </c>
    </row>
    <row r="12" spans="1:14" x14ac:dyDescent="0.35">
      <c r="A12" s="15">
        <v>50</v>
      </c>
      <c r="B12" s="15">
        <v>0.4</v>
      </c>
      <c r="C12" s="19">
        <v>1.98</v>
      </c>
      <c r="J12" s="15">
        <v>0.4</v>
      </c>
      <c r="M12" s="19">
        <v>1.98</v>
      </c>
    </row>
    <row r="13" spans="1:14" x14ac:dyDescent="0.35">
      <c r="A13" s="15">
        <v>50</v>
      </c>
      <c r="B13" s="15">
        <v>0.7</v>
      </c>
      <c r="C13" s="19">
        <v>3.47</v>
      </c>
      <c r="J13" s="15">
        <v>0.7</v>
      </c>
      <c r="M13" s="19">
        <v>3.47</v>
      </c>
    </row>
    <row r="14" spans="1:14" x14ac:dyDescent="0.35">
      <c r="A14" s="15">
        <v>50</v>
      </c>
      <c r="B14" s="15">
        <v>1</v>
      </c>
      <c r="C14" s="19">
        <v>4.96</v>
      </c>
      <c r="J14" s="15">
        <v>1</v>
      </c>
      <c r="M14" s="19">
        <v>4.96</v>
      </c>
    </row>
    <row r="15" spans="1:14" x14ac:dyDescent="0.35">
      <c r="A15" s="15">
        <v>70</v>
      </c>
      <c r="B15" s="15">
        <v>0.1</v>
      </c>
      <c r="C15" s="19">
        <v>0.83</v>
      </c>
      <c r="J15" s="15">
        <v>0.1</v>
      </c>
      <c r="N15" s="19">
        <v>0.83</v>
      </c>
    </row>
    <row r="16" spans="1:14" x14ac:dyDescent="0.35">
      <c r="A16" s="15">
        <v>70</v>
      </c>
      <c r="B16" s="15">
        <v>0.4</v>
      </c>
      <c r="C16" s="19">
        <v>3.3</v>
      </c>
      <c r="J16" s="15">
        <v>0.4</v>
      </c>
      <c r="N16" s="19">
        <v>3.3</v>
      </c>
    </row>
    <row r="17" spans="1:14" x14ac:dyDescent="0.35">
      <c r="A17" s="15">
        <v>70</v>
      </c>
      <c r="B17" s="15">
        <v>0.7</v>
      </c>
      <c r="C17" s="19">
        <v>5.78</v>
      </c>
      <c r="J17" s="15">
        <v>0.7</v>
      </c>
      <c r="N17" s="19">
        <v>5.78</v>
      </c>
    </row>
    <row r="18" spans="1:14" x14ac:dyDescent="0.35">
      <c r="A18" s="15">
        <v>70</v>
      </c>
      <c r="B18" s="15">
        <v>1</v>
      </c>
      <c r="C18" s="19">
        <v>8.26</v>
      </c>
      <c r="J18" s="15">
        <v>1</v>
      </c>
      <c r="N18" s="19">
        <v>8.26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7CD9-2C5F-4D24-AFD9-B239EEC25FC7}">
  <dimension ref="A1:R52"/>
  <sheetViews>
    <sheetView workbookViewId="0">
      <selection activeCell="B13" sqref="B13"/>
    </sheetView>
  </sheetViews>
  <sheetFormatPr defaultColWidth="9.1796875" defaultRowHeight="14.5" x14ac:dyDescent="0.35"/>
  <cols>
    <col min="1" max="1" width="24.1796875" style="4" customWidth="1"/>
    <col min="2" max="2" width="10.6328125" style="4" bestFit="1" customWidth="1"/>
    <col min="3" max="3" width="15.54296875" style="4" bestFit="1" customWidth="1"/>
    <col min="4" max="4" width="13.36328125" style="4" bestFit="1" customWidth="1"/>
    <col min="5" max="5" width="11" style="4" bestFit="1" customWidth="1"/>
    <col min="6" max="6" width="5.6328125" style="4" bestFit="1" customWidth="1"/>
    <col min="7" max="7" width="18.7265625" style="4" customWidth="1"/>
    <col min="8" max="8" width="16.90625" style="4" customWidth="1"/>
    <col min="9" max="9" width="13.26953125" style="4" customWidth="1"/>
    <col min="10" max="10" width="9.54296875" style="4" customWidth="1"/>
    <col min="11" max="11" width="12.36328125" style="4" customWidth="1"/>
    <col min="12" max="12" width="15.26953125" style="60" customWidth="1"/>
    <col min="13" max="17" width="9.1796875" style="62"/>
    <col min="18" max="18" width="9.1796875" style="10"/>
    <col min="19" max="16384" width="9.1796875" style="4"/>
  </cols>
  <sheetData>
    <row r="1" spans="1:18" ht="23.5" x14ac:dyDescent="0.35">
      <c r="A1" s="74" t="s">
        <v>43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8" s="3" customFormat="1" x14ac:dyDescent="0.35">
      <c r="A2" s="37" t="s">
        <v>17</v>
      </c>
      <c r="B2" s="38"/>
      <c r="C2" s="39"/>
      <c r="D2" s="3" t="s">
        <v>18</v>
      </c>
      <c r="E2" s="56"/>
      <c r="F2" s="57"/>
      <c r="G2" s="58"/>
      <c r="H2" s="47"/>
      <c r="I2" s="48"/>
      <c r="J2" s="48"/>
      <c r="K2" s="48"/>
      <c r="L2" s="49"/>
      <c r="M2" s="73"/>
      <c r="N2" s="73"/>
      <c r="O2" s="73"/>
      <c r="P2" s="73"/>
      <c r="Q2" s="73"/>
      <c r="R2" s="17"/>
    </row>
    <row r="3" spans="1:18" x14ac:dyDescent="0.35">
      <c r="A3" s="40" t="s">
        <v>19</v>
      </c>
      <c r="B3" s="41"/>
      <c r="C3" s="42"/>
      <c r="D3" s="4">
        <v>30.6</v>
      </c>
      <c r="E3" s="34" t="s">
        <v>30</v>
      </c>
      <c r="F3" s="35"/>
      <c r="G3" s="36"/>
      <c r="H3" s="50"/>
      <c r="I3" s="51"/>
      <c r="J3" s="51"/>
      <c r="K3" s="51"/>
      <c r="L3" s="52"/>
    </row>
    <row r="4" spans="1:18" x14ac:dyDescent="0.35">
      <c r="A4" s="40" t="s">
        <v>24</v>
      </c>
      <c r="B4" s="41"/>
      <c r="C4" s="42"/>
      <c r="D4" s="4">
        <v>50</v>
      </c>
      <c r="E4" s="28" t="s">
        <v>28</v>
      </c>
      <c r="F4" s="29"/>
      <c r="G4" s="30"/>
      <c r="H4" s="50"/>
      <c r="I4" s="51"/>
      <c r="J4" s="51"/>
      <c r="K4" s="51"/>
      <c r="L4" s="52"/>
    </row>
    <row r="5" spans="1:18" x14ac:dyDescent="0.35">
      <c r="A5" s="40" t="s">
        <v>25</v>
      </c>
      <c r="B5" s="41"/>
      <c r="C5" s="42"/>
      <c r="D5" s="4">
        <f>100-D4</f>
        <v>50</v>
      </c>
      <c r="E5" s="31"/>
      <c r="F5" s="32"/>
      <c r="G5" s="33"/>
      <c r="H5" s="50"/>
      <c r="I5" s="51"/>
      <c r="J5" s="51"/>
      <c r="K5" s="51"/>
      <c r="L5" s="52"/>
    </row>
    <row r="6" spans="1:18" ht="14.5" customHeight="1" x14ac:dyDescent="0.35">
      <c r="A6" s="40" t="s">
        <v>26</v>
      </c>
      <c r="B6" s="41"/>
      <c r="C6" s="42"/>
      <c r="D6" s="4">
        <v>50</v>
      </c>
      <c r="E6" s="22" t="s">
        <v>23</v>
      </c>
      <c r="F6" s="23"/>
      <c r="G6" s="24"/>
      <c r="H6" s="50"/>
      <c r="I6" s="51"/>
      <c r="J6" s="51"/>
      <c r="K6" s="51"/>
      <c r="L6" s="52"/>
    </row>
    <row r="7" spans="1:18" x14ac:dyDescent="0.35">
      <c r="A7" s="40" t="s">
        <v>27</v>
      </c>
      <c r="B7" s="41"/>
      <c r="C7" s="42"/>
      <c r="D7" s="4">
        <v>25</v>
      </c>
      <c r="E7" s="25"/>
      <c r="F7" s="26"/>
      <c r="G7" s="27"/>
      <c r="H7" s="50"/>
      <c r="I7" s="51"/>
      <c r="J7" s="51"/>
      <c r="K7" s="51"/>
      <c r="L7" s="52"/>
    </row>
    <row r="8" spans="1:18" x14ac:dyDescent="0.35">
      <c r="A8" s="40" t="s">
        <v>32</v>
      </c>
      <c r="B8" s="41"/>
      <c r="C8" s="42"/>
      <c r="D8" s="4">
        <v>25</v>
      </c>
      <c r="E8" s="25"/>
      <c r="F8" s="26"/>
      <c r="G8" s="27"/>
      <c r="H8" s="53"/>
      <c r="I8" s="54"/>
      <c r="J8" s="54"/>
      <c r="K8" s="54"/>
      <c r="L8" s="55"/>
    </row>
    <row r="9" spans="1:18" ht="7" customHeight="1" x14ac:dyDescent="0.35">
      <c r="A9" s="43"/>
      <c r="B9" s="43"/>
      <c r="C9" s="43"/>
      <c r="D9" s="43"/>
      <c r="E9" s="44"/>
      <c r="F9" s="45"/>
      <c r="G9" s="46"/>
      <c r="H9" s="43"/>
      <c r="I9" s="43"/>
      <c r="J9" s="43"/>
      <c r="K9" s="43"/>
      <c r="L9" s="70"/>
    </row>
    <row r="10" spans="1:18" s="3" customFormat="1" ht="72.5" x14ac:dyDescent="0.35">
      <c r="A10" s="3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16</v>
      </c>
      <c r="G10" s="3" t="s">
        <v>13</v>
      </c>
      <c r="H10" s="3" t="s">
        <v>5</v>
      </c>
      <c r="I10" s="3" t="s">
        <v>29</v>
      </c>
      <c r="J10" s="3" t="s">
        <v>6</v>
      </c>
      <c r="K10" s="3" t="s">
        <v>21</v>
      </c>
      <c r="L10" s="16" t="s">
        <v>22</v>
      </c>
      <c r="M10" s="73"/>
      <c r="N10" s="73"/>
      <c r="O10" s="73"/>
      <c r="P10" s="73"/>
      <c r="Q10" s="73"/>
      <c r="R10" s="17"/>
    </row>
    <row r="11" spans="1:18" x14ac:dyDescent="0.35">
      <c r="A11" s="4" t="s">
        <v>31</v>
      </c>
      <c r="B11" s="5">
        <f>D5*0.01*G11*D3</f>
        <v>3.0600000000000005</v>
      </c>
      <c r="C11" s="4">
        <v>50</v>
      </c>
      <c r="D11" s="6">
        <f t="shared" ref="D11:D18" si="0">B11/12*43560*0.0000022/0.0353*C11*0.453592</f>
        <v>15.700425323966012</v>
      </c>
      <c r="E11" s="6">
        <f t="shared" ref="E11:E19" si="1">D11/$D$20*100</f>
        <v>27.580624262976254</v>
      </c>
      <c r="F11" s="6">
        <f>D11/0.892179</f>
        <v>17.597842276007405</v>
      </c>
      <c r="G11" s="4">
        <v>0.2</v>
      </c>
      <c r="H11" s="2"/>
      <c r="I11" s="2"/>
      <c r="J11" s="2"/>
      <c r="K11" s="2"/>
      <c r="L11" s="71"/>
    </row>
    <row r="12" spans="1:18" x14ac:dyDescent="0.35">
      <c r="A12" s="4" t="s">
        <v>7</v>
      </c>
      <c r="B12" s="5">
        <f>D4*0.01*G12*D3</f>
        <v>1.5300000000000002</v>
      </c>
      <c r="C12" s="4">
        <v>50</v>
      </c>
      <c r="D12" s="6">
        <f t="shared" si="0"/>
        <v>7.8502126619830062</v>
      </c>
      <c r="E12" s="6">
        <f t="shared" si="1"/>
        <v>13.790312131488127</v>
      </c>
      <c r="F12" s="6">
        <f t="shared" ref="F12:F19" si="2">D12/0.892179</f>
        <v>8.7989211380037027</v>
      </c>
      <c r="G12" s="4">
        <v>0.1</v>
      </c>
      <c r="H12" s="2"/>
      <c r="I12" s="2"/>
      <c r="J12" s="2"/>
      <c r="K12" s="2"/>
      <c r="L12" s="71"/>
    </row>
    <row r="13" spans="1:18" x14ac:dyDescent="0.35">
      <c r="A13" s="4" t="s">
        <v>8</v>
      </c>
      <c r="B13" s="5">
        <f>G13*J13*D3</f>
        <v>2.2949999999999999</v>
      </c>
      <c r="C13" s="4">
        <v>25</v>
      </c>
      <c r="D13" s="6">
        <f t="shared" si="0"/>
        <v>5.8876594964872524</v>
      </c>
      <c r="E13" s="6">
        <f t="shared" si="1"/>
        <v>10.342734098616091</v>
      </c>
      <c r="F13" s="6">
        <f t="shared" si="2"/>
        <v>6.5991908535027743</v>
      </c>
      <c r="G13" s="4">
        <v>0.5</v>
      </c>
      <c r="H13" s="2"/>
      <c r="I13" s="2"/>
      <c r="J13" s="4">
        <v>0.15</v>
      </c>
      <c r="K13" s="2"/>
      <c r="L13" s="71"/>
    </row>
    <row r="14" spans="1:18" x14ac:dyDescent="0.35">
      <c r="A14" s="4" t="s">
        <v>9</v>
      </c>
      <c r="B14" s="5">
        <f>J14*K14/L14*12</f>
        <v>0.28813083042022808</v>
      </c>
      <c r="C14" s="4">
        <v>280</v>
      </c>
      <c r="D14" s="6">
        <f t="shared" si="0"/>
        <v>8.2788068250498643</v>
      </c>
      <c r="E14" s="6">
        <f t="shared" si="1"/>
        <v>14.54321495602548</v>
      </c>
      <c r="F14" s="6">
        <f t="shared" si="2"/>
        <v>9.2793114667010368</v>
      </c>
      <c r="G14" s="2"/>
      <c r="H14" s="2"/>
      <c r="I14" s="2"/>
      <c r="J14" s="4">
        <v>0.05</v>
      </c>
      <c r="K14" s="7">
        <f>64000000000*0.133681</f>
        <v>8555584000</v>
      </c>
      <c r="L14" s="72">
        <f>43560*409000</f>
        <v>17816040000</v>
      </c>
    </row>
    <row r="15" spans="1:18" x14ac:dyDescent="0.35">
      <c r="A15" s="4" t="s">
        <v>10</v>
      </c>
      <c r="B15" s="5">
        <f>D4*0.01*D3*G15*J15</f>
        <v>0.38250000000000006</v>
      </c>
      <c r="C15" s="4">
        <v>50</v>
      </c>
      <c r="D15" s="6">
        <f t="shared" si="0"/>
        <v>1.9625531654957515</v>
      </c>
      <c r="E15" s="6">
        <f t="shared" si="1"/>
        <v>3.4475780328720318</v>
      </c>
      <c r="F15" s="6">
        <f t="shared" si="2"/>
        <v>2.1997302845009257</v>
      </c>
      <c r="G15" s="4">
        <v>0.5</v>
      </c>
      <c r="H15" s="2"/>
      <c r="I15" s="2"/>
      <c r="J15" s="4">
        <v>0.05</v>
      </c>
      <c r="K15" s="2"/>
      <c r="L15" s="71"/>
    </row>
    <row r="16" spans="1:18" x14ac:dyDescent="0.35">
      <c r="A16" s="4" t="s">
        <v>39</v>
      </c>
      <c r="B16" s="5">
        <v>2.5</v>
      </c>
      <c r="C16" s="4">
        <v>50</v>
      </c>
      <c r="D16" s="6">
        <f t="shared" si="0"/>
        <v>12.827144872521247</v>
      </c>
      <c r="E16" s="6">
        <f t="shared" si="1"/>
        <v>22.533189757333531</v>
      </c>
      <c r="F16" s="6">
        <f t="shared" si="2"/>
        <v>14.377322120921077</v>
      </c>
      <c r="G16" s="2"/>
      <c r="H16" s="2"/>
      <c r="I16" s="2"/>
      <c r="J16" s="2"/>
      <c r="K16" s="2"/>
      <c r="L16" s="71"/>
    </row>
    <row r="17" spans="1:12" x14ac:dyDescent="0.35">
      <c r="A17" s="4" t="s">
        <v>11</v>
      </c>
      <c r="B17" s="5">
        <v>0</v>
      </c>
      <c r="C17" s="4">
        <v>87</v>
      </c>
      <c r="D17" s="6">
        <f t="shared" si="0"/>
        <v>0</v>
      </c>
      <c r="E17" s="6">
        <f t="shared" si="1"/>
        <v>0</v>
      </c>
      <c r="F17" s="6">
        <f t="shared" si="2"/>
        <v>0</v>
      </c>
      <c r="G17" s="2"/>
      <c r="H17" s="2"/>
      <c r="I17" s="2"/>
      <c r="J17" s="2"/>
      <c r="K17" s="2"/>
      <c r="L17" s="71"/>
    </row>
    <row r="18" spans="1:12" x14ac:dyDescent="0.35">
      <c r="A18" s="4" t="s">
        <v>33</v>
      </c>
      <c r="B18" s="5">
        <f>J18*I18*H18*3600*24*365.25/2.54</f>
        <v>6.2121259842519677E-2</v>
      </c>
      <c r="C18" s="4">
        <v>500</v>
      </c>
      <c r="D18" s="6">
        <f t="shared" si="0"/>
        <v>3.1873535986541457</v>
      </c>
      <c r="E18" s="6">
        <f t="shared" si="1"/>
        <v>5.5991605439844783</v>
      </c>
      <c r="F18" s="6">
        <f t="shared" si="2"/>
        <v>3.5725494532533779</v>
      </c>
      <c r="G18" s="2"/>
      <c r="H18" s="4">
        <f>D8*0.01</f>
        <v>0.25</v>
      </c>
      <c r="I18" s="4">
        <v>0.02</v>
      </c>
      <c r="J18" s="4">
        <v>9.9999999999999995E-7</v>
      </c>
      <c r="K18" s="2"/>
      <c r="L18" s="71"/>
    </row>
    <row r="19" spans="1:12" x14ac:dyDescent="0.35">
      <c r="A19" s="4" t="s">
        <v>40</v>
      </c>
      <c r="B19" s="5">
        <v>1.2</v>
      </c>
      <c r="C19" s="4">
        <v>50</v>
      </c>
      <c r="D19" s="6">
        <f>B19/12*43560*0.0000022/0.0353*C19*0.453592*G19</f>
        <v>1.2314059077620396</v>
      </c>
      <c r="E19" s="6">
        <f t="shared" si="1"/>
        <v>2.1631862167040188</v>
      </c>
      <c r="F19" s="6">
        <f t="shared" si="2"/>
        <v>1.3802229236084234</v>
      </c>
      <c r="G19" s="4">
        <v>0.2</v>
      </c>
      <c r="H19" s="64"/>
      <c r="I19" s="64"/>
      <c r="J19" s="64"/>
      <c r="K19" s="64"/>
      <c r="L19" s="69"/>
    </row>
    <row r="20" spans="1:12" x14ac:dyDescent="0.35">
      <c r="A20" s="9" t="s">
        <v>12</v>
      </c>
      <c r="B20" s="63">
        <f>SUM(B11:B19)</f>
        <v>11.317752090262749</v>
      </c>
      <c r="C20" s="64"/>
      <c r="D20" s="65">
        <f>SUM(D11:D19)</f>
        <v>56.925561851919312</v>
      </c>
      <c r="E20" s="65">
        <f>SUM(E11:E19)</f>
        <v>100.00000000000001</v>
      </c>
      <c r="F20" s="65">
        <f>SUM(F11:F19)</f>
        <v>63.805090516498723</v>
      </c>
      <c r="G20" s="69"/>
      <c r="H20" s="69"/>
      <c r="I20" s="69"/>
      <c r="J20" s="69"/>
      <c r="K20" s="69"/>
      <c r="L20" s="69"/>
    </row>
    <row r="21" spans="1:12" x14ac:dyDescent="0.35">
      <c r="A21" s="66" t="s">
        <v>41</v>
      </c>
      <c r="B21" s="67"/>
      <c r="C21" s="67"/>
      <c r="D21" s="68"/>
      <c r="E21" s="68"/>
      <c r="F21" s="62"/>
      <c r="G21" s="62"/>
      <c r="H21" s="62"/>
      <c r="I21" s="62"/>
      <c r="J21" s="62"/>
      <c r="K21" s="62"/>
      <c r="L21" s="62"/>
    </row>
    <row r="22" spans="1:12" x14ac:dyDescent="0.35">
      <c r="A22" s="66" t="s">
        <v>38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</row>
    <row r="23" spans="1:12" x14ac:dyDescent="0.35">
      <c r="A23" s="66" t="s">
        <v>42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</row>
    <row r="24" spans="1:12" x14ac:dyDescent="0.3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1:12" x14ac:dyDescent="0.35">
      <c r="A25" s="12"/>
      <c r="B25" s="12"/>
      <c r="C25" s="12"/>
      <c r="D25" s="12"/>
      <c r="E25" s="12"/>
      <c r="F25" s="12"/>
      <c r="G25" s="12"/>
      <c r="H25" s="61"/>
      <c r="I25" s="12"/>
      <c r="J25" s="12"/>
      <c r="K25" s="12"/>
      <c r="L25" s="59"/>
    </row>
    <row r="26" spans="1:12" x14ac:dyDescent="0.35">
      <c r="H26" s="10"/>
    </row>
    <row r="27" spans="1:12" x14ac:dyDescent="0.35">
      <c r="H27" s="10"/>
    </row>
    <row r="28" spans="1:12" x14ac:dyDescent="0.35">
      <c r="H28" s="10"/>
    </row>
    <row r="29" spans="1:12" x14ac:dyDescent="0.35">
      <c r="H29" s="10"/>
    </row>
    <row r="30" spans="1:12" x14ac:dyDescent="0.35">
      <c r="H30" s="10"/>
    </row>
    <row r="31" spans="1:12" x14ac:dyDescent="0.35">
      <c r="H31" s="10"/>
    </row>
    <row r="32" spans="1:12" x14ac:dyDescent="0.35">
      <c r="H32" s="10"/>
    </row>
    <row r="33" spans="1:8" x14ac:dyDescent="0.35">
      <c r="H33" s="10"/>
    </row>
    <row r="34" spans="1:8" x14ac:dyDescent="0.35">
      <c r="D34" s="12"/>
      <c r="E34" s="12"/>
      <c r="H34" s="10"/>
    </row>
    <row r="35" spans="1:8" x14ac:dyDescent="0.35">
      <c r="H35" s="10"/>
    </row>
    <row r="36" spans="1:8" x14ac:dyDescent="0.35">
      <c r="H36" s="10"/>
    </row>
    <row r="37" spans="1:8" x14ac:dyDescent="0.35">
      <c r="H37" s="10"/>
    </row>
    <row r="38" spans="1:8" x14ac:dyDescent="0.35">
      <c r="H38" s="10"/>
    </row>
    <row r="39" spans="1:8" x14ac:dyDescent="0.35">
      <c r="H39" s="10"/>
    </row>
    <row r="40" spans="1:8" x14ac:dyDescent="0.35">
      <c r="H40" s="10"/>
    </row>
    <row r="41" spans="1:8" x14ac:dyDescent="0.35">
      <c r="A41" s="11"/>
      <c r="B41" s="11"/>
      <c r="C41" s="11"/>
      <c r="H41" s="10"/>
    </row>
    <row r="42" spans="1:8" x14ac:dyDescent="0.35">
      <c r="A42" s="11"/>
      <c r="B42" s="11"/>
      <c r="C42" s="11"/>
    </row>
    <row r="43" spans="1:8" x14ac:dyDescent="0.35">
      <c r="A43" s="11"/>
      <c r="B43" s="11"/>
      <c r="C43" s="11"/>
    </row>
    <row r="44" spans="1:8" x14ac:dyDescent="0.35">
      <c r="A44" s="12"/>
      <c r="B44" s="13"/>
      <c r="C44" s="12"/>
    </row>
    <row r="45" spans="1:8" x14ac:dyDescent="0.35">
      <c r="B45" s="8"/>
    </row>
    <row r="46" spans="1:8" x14ac:dyDescent="0.35">
      <c r="B46" s="8"/>
    </row>
    <row r="47" spans="1:8" x14ac:dyDescent="0.35">
      <c r="B47" s="14"/>
    </row>
    <row r="48" spans="1:8" x14ac:dyDescent="0.35">
      <c r="B48" s="8"/>
    </row>
    <row r="49" spans="2:2" x14ac:dyDescent="0.35">
      <c r="B49" s="8"/>
    </row>
    <row r="50" spans="2:2" x14ac:dyDescent="0.35">
      <c r="B50" s="8"/>
    </row>
    <row r="51" spans="2:2" x14ac:dyDescent="0.35">
      <c r="B51" s="8"/>
    </row>
    <row r="52" spans="2:2" x14ac:dyDescent="0.35">
      <c r="B52" s="8"/>
    </row>
  </sheetData>
  <sheetProtection algorithmName="SHA-512" hashValue="6CUMMlLrfEnCnTjsaXcq6pq2pGKgJOc7O7pf/nouV6cgBjxB6fjvoZeTxTzy1TMmc78bD+WIC0OY2e0JfVo6Ug==" saltValue="9C7T9AKFo+AU69AMnFA21A==" spinCount="100000" sheet="1" objects="1" scenarios="1"/>
  <mergeCells count="13">
    <mergeCell ref="A7:C7"/>
    <mergeCell ref="A8:C8"/>
    <mergeCell ref="A1:L1"/>
    <mergeCell ref="A2:C2"/>
    <mergeCell ref="E2:G2"/>
    <mergeCell ref="H2:L8"/>
    <mergeCell ref="A3:C3"/>
    <mergeCell ref="E3:G3"/>
    <mergeCell ref="A4:C4"/>
    <mergeCell ref="E4:G5"/>
    <mergeCell ref="A5:C5"/>
    <mergeCell ref="A6:C6"/>
    <mergeCell ref="E6:G8"/>
  </mergeCells>
  <hyperlinks>
    <hyperlink ref="E3:G3" r:id="rId1" display="Link to MN precipitation data" xr:uid="{CF857861-4824-48AF-9297-7C9A438C8402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92A20-F79F-4A38-BC6A-794009136507}">
  <dimension ref="A1:D21"/>
  <sheetViews>
    <sheetView workbookViewId="0">
      <selection activeCell="A22" sqref="A22"/>
    </sheetView>
  </sheetViews>
  <sheetFormatPr defaultRowHeight="14.5" x14ac:dyDescent="0.35"/>
  <cols>
    <col min="1" max="1" width="27.08984375" style="76" customWidth="1"/>
    <col min="2" max="2" width="11.81640625" style="76" customWidth="1"/>
    <col min="3" max="16384" width="8.7265625" style="76"/>
  </cols>
  <sheetData>
    <row r="1" spans="1:4" ht="29" x14ac:dyDescent="0.35">
      <c r="A1" s="3" t="s">
        <v>0</v>
      </c>
      <c r="B1" s="3" t="s">
        <v>46</v>
      </c>
      <c r="C1" s="3"/>
      <c r="D1" s="3"/>
    </row>
    <row r="2" spans="1:4" x14ac:dyDescent="0.35">
      <c r="A2" s="4" t="s">
        <v>31</v>
      </c>
      <c r="B2" s="77">
        <f>'Loading calculator'!D10</f>
        <v>34.590799980000007</v>
      </c>
    </row>
    <row r="3" spans="1:4" x14ac:dyDescent="0.35">
      <c r="A3" s="4" t="s">
        <v>7</v>
      </c>
      <c r="B3" s="77">
        <f>'Loading calculator'!D11</f>
        <v>17.295399990000003</v>
      </c>
    </row>
    <row r="4" spans="1:4" x14ac:dyDescent="0.35">
      <c r="A4" s="4" t="s">
        <v>8</v>
      </c>
      <c r="B4" s="77">
        <f>'Loading calculator'!D12</f>
        <v>12.9715499925</v>
      </c>
    </row>
    <row r="5" spans="1:4" x14ac:dyDescent="0.35">
      <c r="A5" s="4" t="s">
        <v>9</v>
      </c>
      <c r="B5" s="77">
        <f>'Loading calculator'!D13</f>
        <v>18.23966835606846</v>
      </c>
    </row>
    <row r="6" spans="1:4" x14ac:dyDescent="0.35">
      <c r="A6" s="4" t="s">
        <v>10</v>
      </c>
      <c r="B6" s="77">
        <f>'Loading calculator'!D14</f>
        <v>4.3238499975000009</v>
      </c>
    </row>
    <row r="7" spans="1:4" x14ac:dyDescent="0.35">
      <c r="A7" s="4" t="s">
        <v>44</v>
      </c>
      <c r="B7" s="77">
        <f>'Loading calculator'!D15</f>
        <v>28.260457499999998</v>
      </c>
    </row>
    <row r="8" spans="1:4" x14ac:dyDescent="0.35">
      <c r="A8" s="4" t="s">
        <v>11</v>
      </c>
      <c r="B8" s="77">
        <f>'Loading calculator'!D16</f>
        <v>0</v>
      </c>
    </row>
    <row r="9" spans="1:4" x14ac:dyDescent="0.35">
      <c r="A9" s="4" t="s">
        <v>33</v>
      </c>
      <c r="B9" s="77">
        <f>'Loading calculator'!D17</f>
        <v>7.0223008945039362</v>
      </c>
    </row>
    <row r="10" spans="1:4" x14ac:dyDescent="0.35">
      <c r="A10" s="4" t="s">
        <v>40</v>
      </c>
      <c r="B10" s="77">
        <f>'Loading calculator'!D18</f>
        <v>2.7130039200000002</v>
      </c>
    </row>
    <row r="12" spans="1:4" x14ac:dyDescent="0.35">
      <c r="A12" s="3" t="s">
        <v>0</v>
      </c>
      <c r="B12" s="3" t="s">
        <v>4</v>
      </c>
    </row>
    <row r="13" spans="1:4" x14ac:dyDescent="0.35">
      <c r="A13" s="4" t="s">
        <v>31</v>
      </c>
      <c r="B13" s="77">
        <f>'Loading calculator'!E10</f>
        <v>27.580624262976244</v>
      </c>
    </row>
    <row r="14" spans="1:4" x14ac:dyDescent="0.35">
      <c r="A14" s="4" t="s">
        <v>7</v>
      </c>
      <c r="B14" s="77">
        <f>'Loading calculator'!E11</f>
        <v>13.790312131488122</v>
      </c>
    </row>
    <row r="15" spans="1:4" x14ac:dyDescent="0.35">
      <c r="A15" s="4" t="s">
        <v>8</v>
      </c>
      <c r="B15" s="77">
        <f>'Loading calculator'!E12</f>
        <v>10.34273409861609</v>
      </c>
    </row>
    <row r="16" spans="1:4" x14ac:dyDescent="0.35">
      <c r="A16" s="4" t="s">
        <v>9</v>
      </c>
      <c r="B16" s="77">
        <f>'Loading calculator'!E13</f>
        <v>14.543214956025475</v>
      </c>
    </row>
    <row r="17" spans="1:2" x14ac:dyDescent="0.35">
      <c r="A17" s="4" t="s">
        <v>10</v>
      </c>
      <c r="B17" s="77">
        <f>'Loading calculator'!E14</f>
        <v>3.4475780328720305</v>
      </c>
    </row>
    <row r="18" spans="1:2" x14ac:dyDescent="0.35">
      <c r="A18" s="4" t="s">
        <v>44</v>
      </c>
      <c r="B18" s="77">
        <f>'Loading calculator'!E15</f>
        <v>22.533189757333528</v>
      </c>
    </row>
    <row r="19" spans="1:2" x14ac:dyDescent="0.35">
      <c r="A19" s="4" t="s">
        <v>11</v>
      </c>
      <c r="B19" s="77">
        <f>'Loading calculator'!E16</f>
        <v>0</v>
      </c>
    </row>
    <row r="20" spans="1:2" x14ac:dyDescent="0.35">
      <c r="A20" s="4" t="s">
        <v>33</v>
      </c>
      <c r="B20" s="77">
        <f>'Loading calculator'!E17</f>
        <v>5.5991605439844765</v>
      </c>
    </row>
    <row r="21" spans="1:2" x14ac:dyDescent="0.35">
      <c r="A21" s="4" t="s">
        <v>40</v>
      </c>
      <c r="B21" s="77">
        <f>'Loading calculator'!E18</f>
        <v>2.1631862167040188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Loading calculator</vt:lpstr>
      <vt:lpstr>Infiltration recharge rate</vt:lpstr>
      <vt:lpstr>Defaults locked</vt:lpstr>
      <vt:lpstr>Pie charts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trojans</dc:creator>
  <cp:lastModifiedBy>Michael Trojan</cp:lastModifiedBy>
  <dcterms:created xsi:type="dcterms:W3CDTF">2018-11-30T21:01:50Z</dcterms:created>
  <dcterms:modified xsi:type="dcterms:W3CDTF">2020-12-07T16:16:59Z</dcterms:modified>
</cp:coreProperties>
</file>